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seem\Desktop\Waseem\Advisory\"/>
    </mc:Choice>
  </mc:AlternateContent>
  <xr:revisionPtr revIDLastSave="0" documentId="13_ncr:1_{ABD29FB7-11B0-4496-9A13-12D6D901FD82}" xr6:coauthVersionLast="47" xr6:coauthVersionMax="47" xr10:uidLastSave="{00000000-0000-0000-0000-000000000000}"/>
  <bookViews>
    <workbookView xWindow="-110" yWindow="-110" windowWidth="19420" windowHeight="10300" activeTab="2" xr2:uid="{95138FB4-BA6F-41DC-AFAD-78C286035838}"/>
  </bookViews>
  <sheets>
    <sheet name="Fixed Fee" sheetId="1" r:id="rId1"/>
    <sheet name="Fixed + Variable" sheetId="3" r:id="rId2"/>
    <sheet name="Fixed + Variable (Multi Year)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9" i="5" l="1"/>
  <c r="E26" i="5"/>
  <c r="E25" i="5"/>
  <c r="E23" i="5" l="1"/>
  <c r="E22" i="5"/>
  <c r="G21" i="5"/>
  <c r="E30" i="5"/>
  <c r="E27" i="3" l="1"/>
  <c r="E19" i="1"/>
  <c r="E20" i="3"/>
  <c r="E21" i="1"/>
  <c r="E20" i="1"/>
  <c r="E28" i="3"/>
  <c r="E18" i="1"/>
  <c r="F18" i="1"/>
  <c r="F21" i="1"/>
  <c r="G20" i="1"/>
  <c r="F20" i="1"/>
  <c r="E21" i="3" l="1"/>
  <c r="G22" i="3"/>
  <c r="F22" i="3"/>
  <c r="E22" i="3"/>
  <c r="E14" i="5"/>
  <c r="E21" i="5"/>
  <c r="E15" i="5" l="1"/>
  <c r="E16" i="5" s="1"/>
  <c r="F14" i="3" l="1"/>
  <c r="F21" i="3" l="1"/>
  <c r="G21" i="3"/>
  <c r="E15" i="3"/>
  <c r="G14" i="3"/>
  <c r="G15" i="3" s="1"/>
  <c r="F15" i="3"/>
  <c r="E16" i="3" l="1"/>
  <c r="E17" i="3" s="1"/>
  <c r="G16" i="3"/>
  <c r="F16" i="3"/>
  <c r="E18" i="5" l="1"/>
  <c r="E17" i="5"/>
  <c r="G18" i="3"/>
  <c r="G17" i="3"/>
  <c r="E18" i="3"/>
  <c r="E19" i="3" s="1"/>
  <c r="F18" i="3"/>
  <c r="F17" i="3"/>
  <c r="E19" i="5" l="1"/>
  <c r="E20" i="5"/>
  <c r="G27" i="3"/>
  <c r="G28" i="3" s="1"/>
  <c r="G29" i="3" s="1"/>
  <c r="E23" i="3"/>
  <c r="E25" i="3" s="1"/>
  <c r="E29" i="3"/>
  <c r="G20" i="3"/>
  <c r="F20" i="3"/>
  <c r="G19" i="3"/>
  <c r="G23" i="3" s="1"/>
  <c r="G25" i="3" s="1"/>
  <c r="F19" i="3"/>
  <c r="F23" i="3" s="1"/>
  <c r="F25" i="3" s="1"/>
  <c r="F26" i="3" s="1"/>
  <c r="F27" i="3" s="1"/>
  <c r="F28" i="3" s="1"/>
  <c r="F29" i="3" s="1"/>
  <c r="E27" i="5" l="1"/>
  <c r="E28" i="5" s="1"/>
  <c r="G13" i="5" l="1"/>
  <c r="E29" i="5"/>
  <c r="G22" i="5"/>
  <c r="G14" i="5"/>
  <c r="G15" i="5" s="1"/>
  <c r="G13" i="1"/>
  <c r="F13" i="1"/>
  <c r="G16" i="5" l="1"/>
  <c r="G18" i="5" s="1"/>
  <c r="E14" i="1"/>
  <c r="G14" i="1"/>
  <c r="G15" i="1" s="1"/>
  <c r="G16" i="1" s="1"/>
  <c r="F14" i="1"/>
  <c r="G17" i="5" l="1"/>
  <c r="G19" i="5" s="1"/>
  <c r="F15" i="1"/>
  <c r="F16" i="1" s="1"/>
  <c r="E15" i="1"/>
  <c r="E16" i="1" s="1"/>
  <c r="E17" i="1"/>
  <c r="I30" i="5" l="1"/>
  <c r="K21" i="5" s="1"/>
  <c r="G30" i="5"/>
  <c r="G20" i="5"/>
  <c r="I21" i="5"/>
  <c r="G23" i="5"/>
  <c r="G25" i="5" s="1"/>
  <c r="G26" i="5" s="1"/>
  <c r="G27" i="5" s="1"/>
  <c r="G28" i="5" s="1"/>
  <c r="G29" i="5" s="1"/>
  <c r="F17" i="1"/>
  <c r="F19" i="1" s="1"/>
  <c r="G17" i="1"/>
  <c r="I13" i="5" l="1"/>
  <c r="I22" i="5" s="1"/>
  <c r="G19" i="1"/>
  <c r="G18" i="1"/>
  <c r="G21" i="1" s="1"/>
  <c r="I14" i="5" l="1"/>
  <c r="I15" i="5" s="1"/>
  <c r="I16" i="5" s="1"/>
  <c r="I18" i="5" s="1"/>
  <c r="I17" i="5" l="1"/>
  <c r="I19" i="5" l="1"/>
  <c r="I23" i="5" s="1"/>
  <c r="I20" i="5"/>
  <c r="I25" i="5" l="1"/>
  <c r="I26" i="5" s="1"/>
  <c r="I27" i="5" l="1"/>
  <c r="I28" i="5" s="1"/>
  <c r="I29" i="5" l="1"/>
  <c r="K13" i="5"/>
  <c r="K14" i="5" l="1"/>
  <c r="K15" i="5" s="1"/>
  <c r="K22" i="5"/>
  <c r="K16" i="5" l="1"/>
  <c r="K17" i="5" l="1"/>
  <c r="K18" i="5"/>
  <c r="K19" i="5" l="1"/>
  <c r="K20" i="5"/>
  <c r="K23" i="5" l="1"/>
  <c r="K25" i="5" s="1"/>
  <c r="K26" i="5" s="1"/>
  <c r="K27" i="5" s="1"/>
  <c r="K28" i="5" s="1"/>
  <c r="K29" i="5" s="1"/>
  <c r="M30" i="5"/>
  <c r="K30" i="5"/>
  <c r="M21" i="5" s="1"/>
  <c r="M13" i="5" l="1"/>
  <c r="M22" i="5" s="1"/>
  <c r="M14" i="5" l="1"/>
  <c r="M15" i="5" s="1"/>
  <c r="M16" i="5" l="1"/>
  <c r="M18" i="5" s="1"/>
  <c r="M17" i="5" l="1"/>
  <c r="M19" i="5" s="1"/>
  <c r="M23" i="5" s="1"/>
  <c r="M20" i="5" l="1"/>
  <c r="M25" i="5"/>
  <c r="M26" i="5" s="1"/>
  <c r="M27" i="5" s="1"/>
  <c r="M28" i="5" s="1"/>
</calcChain>
</file>

<file path=xl/sharedStrings.xml><?xml version="1.0" encoding="utf-8"?>
<sst xmlns="http://schemas.openxmlformats.org/spreadsheetml/2006/main" count="205" uniqueCount="100">
  <si>
    <t>FEE STRUCTURE ILLUSTRATION - AUM LINKED FEE ONLY</t>
  </si>
  <si>
    <t>Particulars</t>
  </si>
  <si>
    <t>No Change</t>
  </si>
  <si>
    <t>Less: Brokerage/DP Charges/ Transaction costs/ other charges (e.g., 0.10% of transaction amount)</t>
  </si>
  <si>
    <t>i</t>
  </si>
  <si>
    <t>iii</t>
  </si>
  <si>
    <t>ii</t>
  </si>
  <si>
    <t>iv</t>
  </si>
  <si>
    <t>v</t>
  </si>
  <si>
    <t>vi</t>
  </si>
  <si>
    <t>viii</t>
  </si>
  <si>
    <t>ix</t>
  </si>
  <si>
    <t>Sl No</t>
  </si>
  <si>
    <t>Amt (INR)</t>
  </si>
  <si>
    <t>x</t>
  </si>
  <si>
    <t>xii</t>
  </si>
  <si>
    <t>xi</t>
  </si>
  <si>
    <t>Charges during the year (iv + v+ ix) - total</t>
  </si>
  <si>
    <t>FEE STRUCTURE ILLUSTRATION - AUM LINKED &amp; PERF FEE</t>
  </si>
  <si>
    <t>Assumptions</t>
  </si>
  <si>
    <t>Capital Contribution (Rs.)</t>
  </si>
  <si>
    <t>Management Fee (%age per annum)</t>
  </si>
  <si>
    <t>Performance (%age per annum)</t>
  </si>
  <si>
    <t>a</t>
  </si>
  <si>
    <t>b</t>
  </si>
  <si>
    <t>c</t>
  </si>
  <si>
    <t>d</t>
  </si>
  <si>
    <t>e</t>
  </si>
  <si>
    <t>Calculation</t>
  </si>
  <si>
    <t>i = a</t>
  </si>
  <si>
    <t>Gain / Loss</t>
  </si>
  <si>
    <t>iii= i + ii</t>
  </si>
  <si>
    <t>Brokerage/DP Charges/ Transaction costs/ other charges</t>
  </si>
  <si>
    <t>vii</t>
  </si>
  <si>
    <t>average value is assumed for calculation purposes - this will value may change as it depends on daily average value of the portfolio for the quarter</t>
  </si>
  <si>
    <t>vi=(b*(1+18%))*v</t>
  </si>
  <si>
    <t>vii=ii-iv-vi</t>
  </si>
  <si>
    <t>viii=iv+vi</t>
  </si>
  <si>
    <t>ix=iii-viii</t>
  </si>
  <si>
    <t>x=vii/i</t>
  </si>
  <si>
    <t>ii= i*d(scenario)</t>
  </si>
  <si>
    <t>Details</t>
  </si>
  <si>
    <t>Gain/(Loss) less the above charges</t>
  </si>
  <si>
    <t>Net value of the portfolio at end of year</t>
  </si>
  <si>
    <t>Less: Brokerage/DP Charges/ Transaction costs/other charges (e.g., 0.10% of transaction amount)</t>
  </si>
  <si>
    <t xml:space="preserve">Gain </t>
  </si>
  <si>
    <t xml:space="preserve">Loss </t>
  </si>
  <si>
    <t>Gain</t>
  </si>
  <si>
    <t>Loss</t>
  </si>
  <si>
    <t>Gross Value of the Portfolio before Performance fee</t>
  </si>
  <si>
    <t>xiii</t>
  </si>
  <si>
    <t>-20%</t>
  </si>
  <si>
    <t>Less: Management fee (e.g., 1% + GST of 18% on average daily value for each quarter)</t>
  </si>
  <si>
    <t>v= iv*e</t>
  </si>
  <si>
    <t>v= iv*c</t>
  </si>
  <si>
    <t>Hurdle Rate</t>
  </si>
  <si>
    <t>f</t>
  </si>
  <si>
    <t>xiv</t>
  </si>
  <si>
    <t>Capital Contribution / Asset Under Management</t>
  </si>
  <si>
    <t>ix=i*f</t>
  </si>
  <si>
    <t>vii=iii-v-vi</t>
  </si>
  <si>
    <t>viii=ii-v-vi</t>
  </si>
  <si>
    <t>x = vii &gt; (viii+ix) then Yes else No P Fees</t>
  </si>
  <si>
    <t>xi=vii-viii-ix</t>
  </si>
  <si>
    <t>xii=((xi*d)*(1+18%))</t>
  </si>
  <si>
    <t>xiii=v+vi+xii</t>
  </si>
  <si>
    <t>NV=iii-xiii</t>
  </si>
  <si>
    <t>xiv=(xiii-i)/i</t>
  </si>
  <si>
    <t>ii= i*(scenario)</t>
  </si>
  <si>
    <t>vi=(b*(1+18%))*iv</t>
  </si>
  <si>
    <t>portfolio value less fixed cost</t>
  </si>
  <si>
    <t>Hurdle rate</t>
  </si>
  <si>
    <t xml:space="preserve">Capital Contributed / Assets under Management </t>
  </si>
  <si>
    <t xml:space="preserve">Gain / (Loss) on Investment based on the Scenario </t>
  </si>
  <si>
    <t xml:space="preserve">Gross Value of the Portfolio at the end of the year </t>
  </si>
  <si>
    <t xml:space="preserve">Net value of the Portfolio at the end of the year </t>
  </si>
  <si>
    <t xml:space="preserve">% Portfolio Return </t>
  </si>
  <si>
    <t>Gross value of the portfolio before performance fee is greater than High Water Mark Value + Hurdle rate of return</t>
  </si>
  <si>
    <t>If Yes, proceed to performance fee calculation else 0 (zero) performance fee for the period)</t>
  </si>
  <si>
    <t xml:space="preserve"> Performance fee </t>
  </si>
  <si>
    <t xml:space="preserve">Gain/(Loss) less the above charges </t>
  </si>
  <si>
    <t xml:space="preserve">Total charges during the year </t>
  </si>
  <si>
    <t>High Water Mark Value (the last highest value that the portfolio/account has reached)</t>
  </si>
  <si>
    <t xml:space="preserve">Average assets under management </t>
  </si>
  <si>
    <t>&lt;&lt; hurdle rate depends on risk composition (can vary each year depending on performance of each asset class)</t>
  </si>
  <si>
    <t>&lt;&lt; hurdle rate depends on risk composition (can vary each year depending on performance of each asset class).</t>
  </si>
  <si>
    <t>Performance fee  / Profit Share To be taken by PMS</t>
  </si>
  <si>
    <t xml:space="preserve">Daily weighted average assets under management </t>
  </si>
  <si>
    <t>xv</t>
  </si>
  <si>
    <t>the last highest value that the portfolio/account has reached</t>
  </si>
  <si>
    <t>High Water Mark carried forward for next year</t>
  </si>
  <si>
    <t xml:space="preserve">Year 1: Gain of </t>
  </si>
  <si>
    <t xml:space="preserve">Year 2: Gain of </t>
  </si>
  <si>
    <t>Year 3: Loss of</t>
  </si>
  <si>
    <t>Year 4: Gain of</t>
  </si>
  <si>
    <t>Year 5: Loss of</t>
  </si>
  <si>
    <t>Portfolio return subject to Performance Fee</t>
  </si>
  <si>
    <t xml:space="preserve">Portfolio return subject to Performance Fee </t>
  </si>
  <si>
    <t>Assumptions: (1) AUM linked Fee of 1% p.a. plus GST of 18% charged on daily average AUM during the year. (2) Brokerage costs, transaction charges &amp; other similar charges assumed as 0.10% of capital contribution and other charges may vary depend on security/product). (3) hurdle rate depends on risk composition (can vary each year depending on performance of each asset class)</t>
  </si>
  <si>
    <t>Assumptions: (1) AUM linked Fee of 1% p.a. plus GST of 18% charged on daily average AUM during the year. (2) Brokerage costs, transaction charges &amp; other similar charges assumed as 0.10% of capital contribution and other charges may vary depend on security/product). (3) Hurdle rate depends on risk composition (can vary each year depending on performance of each asset class)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</si>
</sst>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.0%"/>
    <numFmt numFmtId="165" formatCode="0.0000%"/>
    <numFmt numFmtId="166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PT Serif"/>
      <family val="1"/>
    </font>
    <font>
      <i/>
      <sz val="10"/>
      <color theme="1"/>
      <name val="PT Serif"/>
      <family val="1"/>
    </font>
    <font>
      <i/>
      <sz val="11"/>
      <color rgb="FFFF0000"/>
      <name val="Calibri"/>
      <family val="2"/>
      <scheme val="minor"/>
    </font>
    <font>
      <b/>
      <sz val="7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4" fillId="0" borderId="5" xfId="0" applyFont="1" applyBorder="1" applyAlignment="1">
      <alignment horizontal="justify" vertical="center" wrapText="1"/>
    </xf>
    <xf numFmtId="3" fontId="0" fillId="0" borderId="0" xfId="0" applyNumberFormat="1"/>
    <xf numFmtId="0" fontId="4" fillId="0" borderId="6" xfId="0" applyFont="1" applyBorder="1" applyAlignment="1">
      <alignment horizontal="justify" vertical="center" wrapText="1"/>
    </xf>
    <xf numFmtId="10" fontId="0" fillId="0" borderId="0" xfId="0" applyNumberFormat="1"/>
    <xf numFmtId="9" fontId="0" fillId="0" borderId="0" xfId="0" applyNumberFormat="1"/>
    <xf numFmtId="3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5" fontId="0" fillId="0" borderId="0" xfId="0" applyNumberFormat="1"/>
    <xf numFmtId="0" fontId="4" fillId="0" borderId="1" xfId="0" applyFont="1" applyBorder="1" applyAlignment="1">
      <alignment horizontal="justify" vertical="center"/>
    </xf>
    <xf numFmtId="0" fontId="4" fillId="0" borderId="5" xfId="0" applyFont="1" applyBorder="1" applyAlignment="1">
      <alignment horizontal="justify" vertical="center"/>
    </xf>
    <xf numFmtId="0" fontId="4" fillId="0" borderId="5" xfId="0" quotePrefix="1" applyFont="1" applyBorder="1" applyAlignment="1">
      <alignment horizontal="justify" vertical="center"/>
    </xf>
    <xf numFmtId="0" fontId="3" fillId="0" borderId="7" xfId="0" applyFont="1" applyBorder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164" fontId="0" fillId="0" borderId="0" xfId="2" applyNumberFormat="1" applyFont="1"/>
    <xf numFmtId="10" fontId="0" fillId="0" borderId="0" xfId="2" applyNumberFormat="1" applyFont="1"/>
    <xf numFmtId="43" fontId="0" fillId="0" borderId="0" xfId="1" applyFont="1" applyAlignment="1">
      <alignment horizontal="center" vertical="center"/>
    </xf>
    <xf numFmtId="9" fontId="0" fillId="0" borderId="0" xfId="1" applyNumberFormat="1" applyFont="1" applyAlignment="1">
      <alignment horizontal="center" vertical="center"/>
    </xf>
    <xf numFmtId="10" fontId="0" fillId="0" borderId="0" xfId="2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66" fontId="6" fillId="0" borderId="0" xfId="1" applyNumberFormat="1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" xfId="0" quotePrefix="1" applyBorder="1" applyAlignment="1">
      <alignment vertical="center"/>
    </xf>
    <xf numFmtId="0" fontId="0" fillId="0" borderId="13" xfId="0" applyBorder="1"/>
    <xf numFmtId="0" fontId="0" fillId="0" borderId="14" xfId="0" applyBorder="1"/>
    <xf numFmtId="0" fontId="0" fillId="0" borderId="7" xfId="0" applyBorder="1"/>
    <xf numFmtId="0" fontId="0" fillId="0" borderId="1" xfId="0" quotePrefix="1" applyBorder="1" applyAlignment="1">
      <alignment horizontal="center" vertical="center"/>
    </xf>
    <xf numFmtId="0" fontId="0" fillId="0" borderId="1" xfId="0" quotePrefix="1" applyBorder="1" applyAlignment="1">
      <alignment horizontal="left" vertical="center"/>
    </xf>
    <xf numFmtId="0" fontId="0" fillId="0" borderId="11" xfId="0" applyBorder="1"/>
    <xf numFmtId="0" fontId="0" fillId="0" borderId="10" xfId="0" applyBorder="1"/>
    <xf numFmtId="0" fontId="0" fillId="0" borderId="12" xfId="0" applyBorder="1"/>
    <xf numFmtId="0" fontId="0" fillId="0" borderId="9" xfId="0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3" fontId="0" fillId="0" borderId="17" xfId="0" applyNumberFormat="1" applyBorder="1" applyAlignment="1">
      <alignment horizontal="left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10" fontId="0" fillId="0" borderId="20" xfId="0" applyNumberForma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9" fontId="0" fillId="0" borderId="23" xfId="0" applyNumberFormat="1" applyBorder="1" applyAlignment="1">
      <alignment horizontal="left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horizontal="left" vertical="center" wrapText="1"/>
    </xf>
    <xf numFmtId="3" fontId="0" fillId="0" borderId="20" xfId="0" applyNumberFormat="1" applyBorder="1" applyAlignment="1">
      <alignment horizontal="left"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9" fontId="0" fillId="0" borderId="23" xfId="0" applyNumberFormat="1" applyBorder="1" applyAlignment="1">
      <alignment horizontal="left" vertical="center"/>
    </xf>
    <xf numFmtId="0" fontId="0" fillId="0" borderId="5" xfId="0" quotePrefix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9" fontId="0" fillId="0" borderId="0" xfId="2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0" fillId="0" borderId="8" xfId="0" quotePrefix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3" fontId="8" fillId="0" borderId="0" xfId="0" applyNumberFormat="1" applyFont="1" applyAlignment="1">
      <alignment horizontal="left" vertical="center"/>
    </xf>
    <xf numFmtId="0" fontId="0" fillId="0" borderId="5" xfId="0" quotePrefix="1" applyBorder="1" applyAlignment="1">
      <alignment horizontal="left" vertical="center"/>
    </xf>
    <xf numFmtId="3" fontId="4" fillId="0" borderId="4" xfId="0" applyNumberFormat="1" applyFont="1" applyBorder="1" applyAlignment="1">
      <alignment horizontal="center" vertical="center"/>
    </xf>
    <xf numFmtId="10" fontId="4" fillId="0" borderId="4" xfId="0" applyNumberFormat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9" fontId="0" fillId="0" borderId="20" xfId="0" applyNumberFormat="1" applyBorder="1" applyAlignment="1">
      <alignment horizontal="left" vertical="center"/>
    </xf>
    <xf numFmtId="0" fontId="0" fillId="0" borderId="22" xfId="0" applyBorder="1"/>
    <xf numFmtId="0" fontId="4" fillId="0" borderId="1" xfId="0" applyFont="1" applyBorder="1" applyAlignment="1">
      <alignment vertical="center" wrapText="1"/>
    </xf>
    <xf numFmtId="0" fontId="4" fillId="0" borderId="1" xfId="0" quotePrefix="1" applyFont="1" applyBorder="1" applyAlignment="1">
      <alignment vertical="center"/>
    </xf>
    <xf numFmtId="10" fontId="4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4" fillId="0" borderId="8" xfId="0" quotePrefix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9" fontId="3" fillId="0" borderId="7" xfId="0" applyNumberFormat="1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0" fillId="0" borderId="1" xfId="0" quotePrefix="1" applyFont="1" applyBorder="1" applyAlignment="1">
      <alignment horizontal="left" vertical="center"/>
    </xf>
    <xf numFmtId="0" fontId="0" fillId="0" borderId="8" xfId="0" quotePrefix="1" applyFont="1" applyBorder="1" applyAlignment="1">
      <alignment horizontal="center" vertical="center" wrapText="1"/>
    </xf>
    <xf numFmtId="0" fontId="0" fillId="0" borderId="5" xfId="0" quotePrefix="1" applyFont="1" applyBorder="1" applyAlignment="1">
      <alignment horizontal="left" vertical="center"/>
    </xf>
    <xf numFmtId="3" fontId="4" fillId="0" borderId="13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0" fontId="0" fillId="0" borderId="5" xfId="0" quotePrefix="1" applyFont="1" applyBorder="1" applyAlignment="1">
      <alignment horizontal="center" vertical="center"/>
    </xf>
    <xf numFmtId="0" fontId="0" fillId="0" borderId="1" xfId="0" quotePrefix="1" applyFont="1" applyBorder="1" applyAlignment="1">
      <alignment vertical="center"/>
    </xf>
    <xf numFmtId="10" fontId="4" fillId="0" borderId="2" xfId="0" applyNumberFormat="1" applyFont="1" applyBorder="1" applyAlignment="1">
      <alignment horizontal="center" vertical="center"/>
    </xf>
    <xf numFmtId="10" fontId="4" fillId="0" borderId="4" xfId="0" applyNumberFormat="1" applyFont="1" applyBorder="1" applyAlignment="1">
      <alignment horizontal="center" vertical="center"/>
    </xf>
    <xf numFmtId="0" fontId="4" fillId="0" borderId="24" xfId="0" quotePrefix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3B912-8D40-455C-BA80-6D99BC7A04C7}">
  <dimension ref="B1:M24"/>
  <sheetViews>
    <sheetView showGridLines="0" zoomScale="80" zoomScaleNormal="80" workbookViewId="0">
      <selection activeCell="B23" sqref="B23:G23"/>
    </sheetView>
  </sheetViews>
  <sheetFormatPr defaultRowHeight="14.5" x14ac:dyDescent="0.35"/>
  <cols>
    <col min="2" max="2" width="6.7265625" customWidth="1"/>
    <col min="3" max="3" width="35.7265625" customWidth="1"/>
    <col min="4" max="4" width="14.453125" customWidth="1"/>
    <col min="5" max="7" width="14.26953125" customWidth="1"/>
    <col min="8" max="8" width="9.08984375" bestFit="1" customWidth="1"/>
    <col min="9" max="9" width="14.54296875" bestFit="1" customWidth="1"/>
    <col min="10" max="13" width="13.1796875" style="19" customWidth="1"/>
  </cols>
  <sheetData>
    <row r="1" spans="2:13" ht="15" thickBot="1" x14ac:dyDescent="0.4"/>
    <row r="2" spans="2:13" ht="15" thickBot="1" x14ac:dyDescent="0.4">
      <c r="B2" s="34" t="s">
        <v>12</v>
      </c>
      <c r="C2" s="35" t="s">
        <v>19</v>
      </c>
      <c r="D2" s="36" t="s">
        <v>41</v>
      </c>
      <c r="E2" s="30"/>
      <c r="F2" s="30"/>
      <c r="G2" s="31"/>
    </row>
    <row r="3" spans="2:13" x14ac:dyDescent="0.35">
      <c r="B3" s="37" t="s">
        <v>23</v>
      </c>
      <c r="C3" s="38" t="s">
        <v>20</v>
      </c>
      <c r="D3" s="39">
        <v>5000000</v>
      </c>
      <c r="G3" s="32"/>
    </row>
    <row r="4" spans="2:13" x14ac:dyDescent="0.35">
      <c r="B4" s="40" t="s">
        <v>24</v>
      </c>
      <c r="C4" s="41" t="s">
        <v>21</v>
      </c>
      <c r="D4" s="42">
        <v>0.01</v>
      </c>
      <c r="G4" s="32"/>
    </row>
    <row r="5" spans="2:13" x14ac:dyDescent="0.35">
      <c r="B5" s="40" t="s">
        <v>25</v>
      </c>
      <c r="C5" s="43" t="s">
        <v>32</v>
      </c>
      <c r="D5" s="42">
        <v>1E-3</v>
      </c>
      <c r="G5" s="32"/>
    </row>
    <row r="6" spans="2:13" ht="15" thickBot="1" x14ac:dyDescent="0.4">
      <c r="B6" s="44" t="s">
        <v>26</v>
      </c>
      <c r="C6" s="45" t="s">
        <v>30</v>
      </c>
      <c r="D6" s="46">
        <v>0.2</v>
      </c>
      <c r="G6" s="32"/>
    </row>
    <row r="7" spans="2:13" x14ac:dyDescent="0.35">
      <c r="B7" s="33"/>
      <c r="G7" s="32"/>
    </row>
    <row r="8" spans="2:13" ht="15" thickBot="1" x14ac:dyDescent="0.4">
      <c r="B8" s="33"/>
      <c r="G8" s="32"/>
    </row>
    <row r="9" spans="2:13" ht="15" thickBot="1" x14ac:dyDescent="0.4">
      <c r="B9" s="72" t="s">
        <v>0</v>
      </c>
      <c r="C9" s="73"/>
      <c r="D9" s="73"/>
      <c r="E9" s="73"/>
      <c r="F9" s="73"/>
      <c r="G9" s="74"/>
    </row>
    <row r="10" spans="2:13" ht="15" thickBot="1" x14ac:dyDescent="0.4">
      <c r="B10" s="78" t="s">
        <v>12</v>
      </c>
      <c r="C10" s="80" t="s">
        <v>1</v>
      </c>
      <c r="D10" s="80" t="s">
        <v>28</v>
      </c>
      <c r="E10" s="12" t="s">
        <v>2</v>
      </c>
      <c r="F10" s="12" t="s">
        <v>45</v>
      </c>
      <c r="G10" s="12" t="s">
        <v>46</v>
      </c>
      <c r="H10" s="5"/>
      <c r="I10" s="5"/>
      <c r="J10" s="20"/>
      <c r="K10" s="20"/>
    </row>
    <row r="11" spans="2:13" ht="15" thickBot="1" x14ac:dyDescent="0.4">
      <c r="B11" s="79"/>
      <c r="C11" s="81"/>
      <c r="D11" s="81"/>
      <c r="E11" s="12" t="s">
        <v>13</v>
      </c>
      <c r="F11" s="12" t="s">
        <v>13</v>
      </c>
      <c r="G11" s="12" t="s">
        <v>13</v>
      </c>
      <c r="I11" s="8"/>
      <c r="K11" s="13"/>
      <c r="L11" s="13"/>
      <c r="M11" s="13"/>
    </row>
    <row r="12" spans="2:13" ht="31.5" customHeight="1" thickBot="1" x14ac:dyDescent="0.4">
      <c r="B12" s="9" t="s">
        <v>4</v>
      </c>
      <c r="C12" s="1" t="s">
        <v>72</v>
      </c>
      <c r="D12" s="28" t="s">
        <v>29</v>
      </c>
      <c r="E12" s="6">
        <v>5000000</v>
      </c>
      <c r="F12" s="6">
        <v>5000000</v>
      </c>
      <c r="G12" s="6">
        <v>5000000</v>
      </c>
      <c r="I12" s="22"/>
      <c r="J12" s="22"/>
    </row>
    <row r="13" spans="2:13" ht="31.5" customHeight="1" thickBot="1" x14ac:dyDescent="0.4">
      <c r="B13" s="11" t="s">
        <v>6</v>
      </c>
      <c r="C13" s="1" t="s">
        <v>73</v>
      </c>
      <c r="D13" s="28" t="s">
        <v>40</v>
      </c>
      <c r="E13" s="7">
        <v>0</v>
      </c>
      <c r="F13" s="6">
        <f>F12*D6</f>
        <v>1000000</v>
      </c>
      <c r="G13" s="6">
        <f>G12*-D6</f>
        <v>-1000000</v>
      </c>
    </row>
    <row r="14" spans="2:13" ht="31.5" customHeight="1" thickBot="1" x14ac:dyDescent="0.4">
      <c r="B14" s="11" t="s">
        <v>5</v>
      </c>
      <c r="C14" s="1" t="s">
        <v>74</v>
      </c>
      <c r="D14" s="28" t="s">
        <v>31</v>
      </c>
      <c r="E14" s="6">
        <f>E12+E13</f>
        <v>5000000</v>
      </c>
      <c r="F14" s="6">
        <f>F12+F13</f>
        <v>6000000</v>
      </c>
      <c r="G14" s="6">
        <f>G12+G13</f>
        <v>4000000</v>
      </c>
    </row>
    <row r="15" spans="2:13" ht="31.5" customHeight="1" thickBot="1" x14ac:dyDescent="0.4">
      <c r="B15" s="11" t="s">
        <v>7</v>
      </c>
      <c r="C15" s="1" t="s">
        <v>83</v>
      </c>
      <c r="D15" s="29" t="s">
        <v>34</v>
      </c>
      <c r="E15" s="6">
        <f>AVERAGE(E12,E14)</f>
        <v>5000000</v>
      </c>
      <c r="F15" s="6">
        <f>AVERAGE(F12,F14)</f>
        <v>5500000</v>
      </c>
      <c r="G15" s="6">
        <f>AVERAGE(G12,G14)</f>
        <v>4500000</v>
      </c>
    </row>
    <row r="16" spans="2:13" ht="44" thickBot="1" x14ac:dyDescent="0.4">
      <c r="B16" s="11" t="s">
        <v>8</v>
      </c>
      <c r="C16" s="1" t="s">
        <v>3</v>
      </c>
      <c r="D16" s="28" t="s">
        <v>54</v>
      </c>
      <c r="E16" s="6">
        <f>E15*D5</f>
        <v>5000</v>
      </c>
      <c r="F16" s="6">
        <f>F15*D5</f>
        <v>5500</v>
      </c>
      <c r="G16" s="6">
        <f>G15*D5</f>
        <v>4500</v>
      </c>
      <c r="H16" s="14"/>
      <c r="I16" s="14"/>
      <c r="J16" s="21"/>
      <c r="K16" s="21"/>
      <c r="L16" s="21"/>
    </row>
    <row r="17" spans="2:12" ht="44" thickBot="1" x14ac:dyDescent="0.4">
      <c r="B17" s="10" t="s">
        <v>9</v>
      </c>
      <c r="C17" s="1" t="s">
        <v>52</v>
      </c>
      <c r="D17" s="28" t="s">
        <v>35</v>
      </c>
      <c r="E17" s="6">
        <f>(D4*(1+18%))*E15</f>
        <v>59000</v>
      </c>
      <c r="F17" s="6">
        <f>(D4*(1+18%))*F15</f>
        <v>64900</v>
      </c>
      <c r="G17" s="6">
        <f>(D4*(1+18%))*G15</f>
        <v>53100</v>
      </c>
      <c r="H17" s="4"/>
      <c r="I17" s="17"/>
      <c r="J17" s="18"/>
      <c r="K17" s="21"/>
      <c r="L17" s="21"/>
    </row>
    <row r="18" spans="2:12" ht="31.5" customHeight="1" thickBot="1" x14ac:dyDescent="0.4">
      <c r="B18" s="10" t="s">
        <v>33</v>
      </c>
      <c r="C18" s="1" t="s">
        <v>80</v>
      </c>
      <c r="D18" s="28" t="s">
        <v>36</v>
      </c>
      <c r="E18" s="6">
        <f>E13-E16-E17</f>
        <v>-64000</v>
      </c>
      <c r="F18" s="6">
        <f>F13-F16-F17</f>
        <v>929600</v>
      </c>
      <c r="G18" s="6">
        <f>G13-G16-G17</f>
        <v>-1057600</v>
      </c>
      <c r="H18" s="2"/>
      <c r="I18" s="2"/>
      <c r="J18" s="21"/>
      <c r="K18" s="21"/>
      <c r="L18" s="21"/>
    </row>
    <row r="19" spans="2:12" ht="26.5" customHeight="1" thickBot="1" x14ac:dyDescent="0.4">
      <c r="B19" s="10" t="s">
        <v>10</v>
      </c>
      <c r="C19" s="1" t="s">
        <v>81</v>
      </c>
      <c r="D19" s="28" t="s">
        <v>37</v>
      </c>
      <c r="E19" s="6">
        <f>E16+E17</f>
        <v>64000</v>
      </c>
      <c r="F19" s="6">
        <f>F16+F17</f>
        <v>70400</v>
      </c>
      <c r="G19" s="6">
        <f>G16+G17</f>
        <v>57600</v>
      </c>
      <c r="H19" s="2"/>
      <c r="K19" s="21"/>
      <c r="L19" s="21"/>
    </row>
    <row r="20" spans="2:12" ht="31.5" customHeight="1" thickBot="1" x14ac:dyDescent="0.4">
      <c r="B20" s="10" t="s">
        <v>11</v>
      </c>
      <c r="C20" s="1" t="s">
        <v>75</v>
      </c>
      <c r="D20" s="28" t="s">
        <v>38</v>
      </c>
      <c r="E20" s="6">
        <f>E14-E19</f>
        <v>4936000</v>
      </c>
      <c r="F20" s="6">
        <f>F14-F19</f>
        <v>5929600</v>
      </c>
      <c r="G20" s="6">
        <f>G14-G19</f>
        <v>3942400</v>
      </c>
      <c r="I20" s="2"/>
      <c r="J20" s="21"/>
    </row>
    <row r="21" spans="2:12" ht="26.5" customHeight="1" thickBot="1" x14ac:dyDescent="0.4">
      <c r="B21" s="70" t="s">
        <v>14</v>
      </c>
      <c r="C21" s="1" t="s">
        <v>76</v>
      </c>
      <c r="D21" s="28" t="s">
        <v>39</v>
      </c>
      <c r="E21" s="65">
        <f>E18/E12</f>
        <v>-1.2800000000000001E-2</v>
      </c>
      <c r="F21" s="71">
        <f>F18/F12</f>
        <v>0.18592</v>
      </c>
      <c r="G21" s="71">
        <f>G18/G12</f>
        <v>-0.21152000000000001</v>
      </c>
      <c r="I21" s="15"/>
      <c r="J21" s="18"/>
      <c r="K21" s="18"/>
    </row>
    <row r="22" spans="2:12" x14ac:dyDescent="0.35">
      <c r="B22" s="33"/>
      <c r="G22" s="32"/>
    </row>
    <row r="23" spans="2:12" ht="40.5" customHeight="1" x14ac:dyDescent="0.35">
      <c r="B23" s="75" t="s">
        <v>99</v>
      </c>
      <c r="C23" s="76"/>
      <c r="D23" s="76"/>
      <c r="E23" s="76"/>
      <c r="F23" s="76"/>
      <c r="G23" s="77"/>
    </row>
    <row r="24" spans="2:12" ht="15" thickBot="1" x14ac:dyDescent="0.4">
      <c r="B24" s="25"/>
      <c r="C24" s="26"/>
      <c r="D24" s="26"/>
      <c r="E24" s="26"/>
      <c r="F24" s="26"/>
      <c r="G24" s="27"/>
    </row>
  </sheetData>
  <mergeCells count="5">
    <mergeCell ref="B9:G9"/>
    <mergeCell ref="B23:G23"/>
    <mergeCell ref="B10:B11"/>
    <mergeCell ref="C10:C11"/>
    <mergeCell ref="D10:D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F393E-7DAA-4A17-916F-BD175909AF3B}">
  <dimension ref="B1:L32"/>
  <sheetViews>
    <sheetView showGridLines="0" zoomScale="80" zoomScaleNormal="80" workbookViewId="0">
      <selection activeCell="B31" sqref="B31:G31"/>
    </sheetView>
  </sheetViews>
  <sheetFormatPr defaultRowHeight="14.5" x14ac:dyDescent="0.35"/>
  <cols>
    <col min="2" max="2" width="6.7265625" customWidth="1"/>
    <col min="3" max="3" width="42.81640625" customWidth="1"/>
    <col min="4" max="4" width="14.453125" customWidth="1"/>
    <col min="5" max="7" width="14.26953125" customWidth="1"/>
    <col min="9" max="9" width="14.453125" bestFit="1" customWidth="1"/>
    <col min="10" max="10" width="28.08984375" bestFit="1" customWidth="1"/>
    <col min="11" max="12" width="10.08984375" bestFit="1" customWidth="1"/>
  </cols>
  <sheetData>
    <row r="1" spans="2:12" ht="15" thickBot="1" x14ac:dyDescent="0.4"/>
    <row r="2" spans="2:12" x14ac:dyDescent="0.35">
      <c r="B2" s="47" t="s">
        <v>12</v>
      </c>
      <c r="C2" s="48" t="s">
        <v>19</v>
      </c>
      <c r="D2" s="49" t="s">
        <v>41</v>
      </c>
      <c r="E2" s="30"/>
      <c r="F2" s="30"/>
      <c r="G2" s="31"/>
    </row>
    <row r="3" spans="2:12" x14ac:dyDescent="0.35">
      <c r="B3" s="40" t="s">
        <v>23</v>
      </c>
      <c r="C3" s="41" t="s">
        <v>20</v>
      </c>
      <c r="D3" s="50">
        <v>5000000</v>
      </c>
      <c r="G3" s="32"/>
    </row>
    <row r="4" spans="2:12" x14ac:dyDescent="0.35">
      <c r="B4" s="40" t="s">
        <v>24</v>
      </c>
      <c r="C4" s="41" t="s">
        <v>21</v>
      </c>
      <c r="D4" s="42">
        <v>0.01</v>
      </c>
      <c r="G4" s="32"/>
    </row>
    <row r="5" spans="2:12" x14ac:dyDescent="0.35">
      <c r="B5" s="40" t="s">
        <v>25</v>
      </c>
      <c r="C5" s="43" t="s">
        <v>22</v>
      </c>
      <c r="D5" s="42">
        <v>0.1</v>
      </c>
      <c r="G5" s="32"/>
    </row>
    <row r="6" spans="2:12" x14ac:dyDescent="0.35">
      <c r="B6" s="40" t="s">
        <v>26</v>
      </c>
      <c r="C6" s="43" t="s">
        <v>32</v>
      </c>
      <c r="D6" s="42">
        <v>1E-3</v>
      </c>
      <c r="G6" s="32"/>
    </row>
    <row r="7" spans="2:12" x14ac:dyDescent="0.35">
      <c r="B7" s="40" t="s">
        <v>27</v>
      </c>
      <c r="C7" s="41" t="s">
        <v>30</v>
      </c>
      <c r="D7" s="67">
        <v>0.2</v>
      </c>
      <c r="G7" s="32"/>
    </row>
    <row r="8" spans="2:12" ht="15" thickBot="1" x14ac:dyDescent="0.4">
      <c r="B8" s="51" t="s">
        <v>56</v>
      </c>
      <c r="C8" s="68" t="s">
        <v>71</v>
      </c>
      <c r="D8" s="46">
        <v>0.1</v>
      </c>
      <c r="G8" s="32"/>
    </row>
    <row r="9" spans="2:12" ht="15" thickBot="1" x14ac:dyDescent="0.4">
      <c r="B9" s="33"/>
      <c r="G9" s="32"/>
    </row>
    <row r="10" spans="2:12" ht="15" thickBot="1" x14ac:dyDescent="0.4">
      <c r="B10" s="72" t="s">
        <v>18</v>
      </c>
      <c r="C10" s="73"/>
      <c r="D10" s="73"/>
      <c r="E10" s="73"/>
      <c r="F10" s="73"/>
      <c r="G10" s="74"/>
    </row>
    <row r="11" spans="2:12" ht="15" thickBot="1" x14ac:dyDescent="0.4">
      <c r="B11" s="84" t="s">
        <v>12</v>
      </c>
      <c r="C11" s="85" t="s">
        <v>1</v>
      </c>
      <c r="D11" s="86" t="s">
        <v>28</v>
      </c>
      <c r="E11" s="23" t="s">
        <v>2</v>
      </c>
      <c r="F11" s="23" t="s">
        <v>47</v>
      </c>
      <c r="G11" s="23" t="s">
        <v>48</v>
      </c>
      <c r="H11" s="5"/>
      <c r="I11" s="5"/>
      <c r="J11" s="4"/>
    </row>
    <row r="12" spans="2:12" ht="15" thickBot="1" x14ac:dyDescent="0.4">
      <c r="B12" s="79"/>
      <c r="C12" s="81"/>
      <c r="D12" s="86"/>
      <c r="E12" s="12" t="s">
        <v>13</v>
      </c>
      <c r="F12" s="12" t="s">
        <v>13</v>
      </c>
      <c r="G12" s="12" t="s">
        <v>13</v>
      </c>
      <c r="I12" s="8"/>
      <c r="J12" s="13"/>
      <c r="K12" s="13"/>
      <c r="L12" s="13"/>
    </row>
    <row r="13" spans="2:12" ht="20" customHeight="1" thickBot="1" x14ac:dyDescent="0.4">
      <c r="B13" s="57" t="s">
        <v>4</v>
      </c>
      <c r="C13" s="1" t="s">
        <v>72</v>
      </c>
      <c r="D13" s="28" t="s">
        <v>29</v>
      </c>
      <c r="E13" s="64">
        <v>5000000</v>
      </c>
      <c r="F13" s="64">
        <v>5000000</v>
      </c>
      <c r="G13" s="64">
        <v>5000000</v>
      </c>
      <c r="I13" s="22"/>
    </row>
    <row r="14" spans="2:12" ht="20" customHeight="1" thickBot="1" x14ac:dyDescent="0.4">
      <c r="B14" s="58" t="s">
        <v>6</v>
      </c>
      <c r="C14" s="1" t="s">
        <v>73</v>
      </c>
      <c r="D14" s="28" t="s">
        <v>40</v>
      </c>
      <c r="E14" s="7">
        <v>0</v>
      </c>
      <c r="F14" s="6">
        <f>F13*D7</f>
        <v>1000000</v>
      </c>
      <c r="G14" s="6">
        <f>G13*-D7</f>
        <v>-1000000</v>
      </c>
    </row>
    <row r="15" spans="2:12" ht="20" customHeight="1" thickBot="1" x14ac:dyDescent="0.4">
      <c r="B15" s="58" t="s">
        <v>5</v>
      </c>
      <c r="C15" s="1" t="s">
        <v>74</v>
      </c>
      <c r="D15" s="28" t="s">
        <v>31</v>
      </c>
      <c r="E15" s="6">
        <f>E13+E14</f>
        <v>5000000</v>
      </c>
      <c r="F15" s="6">
        <f>F13+F14</f>
        <v>6000000</v>
      </c>
      <c r="G15" s="6">
        <f>G13+G14</f>
        <v>4000000</v>
      </c>
    </row>
    <row r="16" spans="2:12" ht="20" customHeight="1" thickBot="1" x14ac:dyDescent="0.4">
      <c r="B16" s="58" t="s">
        <v>7</v>
      </c>
      <c r="C16" s="1" t="s">
        <v>87</v>
      </c>
      <c r="D16" s="29" t="s">
        <v>34</v>
      </c>
      <c r="E16" s="6">
        <f>AVERAGE(E13,E15)</f>
        <v>5000000</v>
      </c>
      <c r="F16" s="6">
        <f>AVERAGE(F13,F15)</f>
        <v>5500000</v>
      </c>
      <c r="G16" s="6">
        <f>AVERAGE(G13,G15)</f>
        <v>4500000</v>
      </c>
    </row>
    <row r="17" spans="2:12" ht="42" customHeight="1" thickBot="1" x14ac:dyDescent="0.4">
      <c r="B17" s="58" t="s">
        <v>8</v>
      </c>
      <c r="C17" s="1" t="s">
        <v>44</v>
      </c>
      <c r="D17" s="28" t="s">
        <v>53</v>
      </c>
      <c r="E17" s="6">
        <f>E16*D6</f>
        <v>5000</v>
      </c>
      <c r="F17" s="6">
        <f>F16*D6</f>
        <v>5500</v>
      </c>
      <c r="G17" s="6">
        <f>G16*D6</f>
        <v>4500</v>
      </c>
      <c r="H17" s="14"/>
      <c r="I17" s="14"/>
    </row>
    <row r="18" spans="2:12" ht="42" customHeight="1" thickBot="1" x14ac:dyDescent="0.4">
      <c r="B18" s="55" t="s">
        <v>9</v>
      </c>
      <c r="C18" s="1" t="s">
        <v>52</v>
      </c>
      <c r="D18" s="29" t="s">
        <v>69</v>
      </c>
      <c r="E18" s="6">
        <f>(D4*(1+18%))*E16</f>
        <v>59000</v>
      </c>
      <c r="F18" s="6">
        <f>(D4*(1+18%))*F16</f>
        <v>64900</v>
      </c>
      <c r="G18" s="6">
        <f>(D4*(1+18%))*G16</f>
        <v>53100</v>
      </c>
      <c r="H18" s="4"/>
      <c r="I18" s="18"/>
      <c r="J18" s="16"/>
    </row>
    <row r="19" spans="2:12" ht="42" customHeight="1" thickBot="1" x14ac:dyDescent="0.4">
      <c r="B19" s="55" t="s">
        <v>33</v>
      </c>
      <c r="C19" s="1" t="s">
        <v>49</v>
      </c>
      <c r="D19" s="28" t="s">
        <v>60</v>
      </c>
      <c r="E19" s="6">
        <f>E15-E17-E18</f>
        <v>4936000</v>
      </c>
      <c r="F19" s="6">
        <f>F15-F17-F18</f>
        <v>5929600</v>
      </c>
      <c r="G19" s="6">
        <f>G15-G17-G18</f>
        <v>3942400</v>
      </c>
      <c r="H19" s="4"/>
      <c r="I19" s="18"/>
      <c r="J19" s="16"/>
    </row>
    <row r="20" spans="2:12" ht="20" customHeight="1" thickBot="1" x14ac:dyDescent="0.4">
      <c r="B20" s="87" t="s">
        <v>10</v>
      </c>
      <c r="C20" s="1" t="s">
        <v>42</v>
      </c>
      <c r="D20" s="28" t="s">
        <v>61</v>
      </c>
      <c r="E20" s="6">
        <f>E14-E17-E18</f>
        <v>-64000</v>
      </c>
      <c r="F20" s="6">
        <f>F14-F17-F18</f>
        <v>929600</v>
      </c>
      <c r="G20" s="6">
        <f>G14-G17-G18</f>
        <v>-1057600</v>
      </c>
      <c r="H20" s="2"/>
      <c r="I20" s="18"/>
      <c r="J20" s="2"/>
      <c r="K20" s="2"/>
      <c r="L20" s="2"/>
    </row>
    <row r="21" spans="2:12" ht="28.5" customHeight="1" thickBot="1" x14ac:dyDescent="0.4">
      <c r="B21" s="83"/>
      <c r="C21" s="3" t="s">
        <v>82</v>
      </c>
      <c r="D21" s="59"/>
      <c r="E21" s="6">
        <f>E13</f>
        <v>5000000</v>
      </c>
      <c r="F21" s="6">
        <f>F13</f>
        <v>5000000</v>
      </c>
      <c r="G21" s="6">
        <f>G13</f>
        <v>5000000</v>
      </c>
      <c r="H21" s="2"/>
      <c r="I21" s="18"/>
      <c r="J21" s="2"/>
      <c r="K21" s="2"/>
      <c r="L21" s="2"/>
    </row>
    <row r="22" spans="2:12" ht="20" customHeight="1" thickBot="1" x14ac:dyDescent="0.4">
      <c r="B22" s="57" t="s">
        <v>11</v>
      </c>
      <c r="C22" s="69" t="s">
        <v>55</v>
      </c>
      <c r="D22" s="28" t="s">
        <v>59</v>
      </c>
      <c r="E22" s="64">
        <f>E13*D8</f>
        <v>500000</v>
      </c>
      <c r="F22" s="64">
        <f>F13*D8</f>
        <v>500000</v>
      </c>
      <c r="G22" s="64">
        <f>G13*-D8</f>
        <v>-500000</v>
      </c>
      <c r="H22" s="61" t="s">
        <v>84</v>
      </c>
      <c r="I22" s="2"/>
    </row>
    <row r="23" spans="2:12" ht="44" thickBot="1" x14ac:dyDescent="0.4">
      <c r="B23" s="55" t="s">
        <v>14</v>
      </c>
      <c r="C23" s="60" t="s">
        <v>77</v>
      </c>
      <c r="D23" s="63" t="s">
        <v>62</v>
      </c>
      <c r="E23" s="6" t="str">
        <f>IF(E19&gt;(E21+E22),("Yes"),("No Pfee"))</f>
        <v>No Pfee</v>
      </c>
      <c r="F23" s="6" t="str">
        <f>IF(F19&gt;(F21+F22),("Yes"),("No Pfee"))</f>
        <v>Yes</v>
      </c>
      <c r="G23" s="6" t="str">
        <f>IF(G19&gt;(G21+G22),("Yes"),("No Pfee"))</f>
        <v>No Pfee</v>
      </c>
      <c r="H23" s="2"/>
      <c r="I23" s="2"/>
    </row>
    <row r="24" spans="2:12" ht="20" customHeight="1" thickBot="1" x14ac:dyDescent="0.4">
      <c r="B24" s="55"/>
      <c r="C24" s="88" t="s">
        <v>78</v>
      </c>
      <c r="D24" s="89"/>
      <c r="E24" s="89"/>
      <c r="F24" s="89"/>
      <c r="G24" s="90"/>
      <c r="H24" s="2"/>
      <c r="I24" s="2"/>
    </row>
    <row r="25" spans="2:12" ht="20" customHeight="1" thickBot="1" x14ac:dyDescent="0.4">
      <c r="B25" s="58" t="s">
        <v>16</v>
      </c>
      <c r="C25" s="1" t="s">
        <v>96</v>
      </c>
      <c r="D25" s="28" t="s">
        <v>63</v>
      </c>
      <c r="E25" s="6">
        <f>+IF(E23="Yes",(E19-E21-E22),(0))</f>
        <v>0</v>
      </c>
      <c r="F25" s="6">
        <f>+IF(F23="Yes",(F19-F21-F22),(0))</f>
        <v>429600</v>
      </c>
      <c r="G25" s="6">
        <f>+IF(G23="Yes",(G19-G21-G22),(0))</f>
        <v>0</v>
      </c>
      <c r="H25" s="2"/>
      <c r="I25" s="2"/>
      <c r="J25" s="2"/>
    </row>
    <row r="26" spans="2:12" ht="20" customHeight="1" thickBot="1" x14ac:dyDescent="0.4">
      <c r="B26" s="55" t="s">
        <v>15</v>
      </c>
      <c r="C26" s="1" t="s">
        <v>79</v>
      </c>
      <c r="D26" s="24" t="s">
        <v>64</v>
      </c>
      <c r="E26" s="6">
        <v>0</v>
      </c>
      <c r="F26" s="6">
        <f>((F25*D5)*(1+18%))</f>
        <v>50692.799999999996</v>
      </c>
      <c r="G26" s="6">
        <v>0</v>
      </c>
      <c r="H26" s="62"/>
      <c r="I26" s="2"/>
    </row>
    <row r="27" spans="2:12" ht="20" customHeight="1" thickBot="1" x14ac:dyDescent="0.4">
      <c r="B27" s="82" t="s">
        <v>50</v>
      </c>
      <c r="C27" s="1" t="s">
        <v>17</v>
      </c>
      <c r="D27" s="54" t="s">
        <v>65</v>
      </c>
      <c r="E27" s="6">
        <f>E17+E18+E26</f>
        <v>64000</v>
      </c>
      <c r="F27" s="6">
        <f>F17+F18+F26</f>
        <v>121092.79999999999</v>
      </c>
      <c r="G27" s="6">
        <f>G17+G18+G26</f>
        <v>57600</v>
      </c>
      <c r="H27" s="2"/>
    </row>
    <row r="28" spans="2:12" ht="20" customHeight="1" thickBot="1" x14ac:dyDescent="0.4">
      <c r="B28" s="83"/>
      <c r="C28" s="1" t="s">
        <v>43</v>
      </c>
      <c r="D28" s="28" t="s">
        <v>66</v>
      </c>
      <c r="E28" s="6">
        <f>E15-E27</f>
        <v>4936000</v>
      </c>
      <c r="F28" s="6">
        <f>F15-F27</f>
        <v>5878907.2000000002</v>
      </c>
      <c r="G28" s="6">
        <f>G15-G27</f>
        <v>3942400</v>
      </c>
      <c r="I28" s="15"/>
    </row>
    <row r="29" spans="2:12" ht="21" customHeight="1" thickBot="1" x14ac:dyDescent="0.4">
      <c r="B29" s="66" t="s">
        <v>57</v>
      </c>
      <c r="C29" s="1" t="s">
        <v>76</v>
      </c>
      <c r="D29" s="28" t="s">
        <v>67</v>
      </c>
      <c r="E29" s="65">
        <f>(E28-E13)/E13</f>
        <v>-1.2800000000000001E-2</v>
      </c>
      <c r="F29" s="65">
        <f>(F28-F13)/F13</f>
        <v>0.17578144000000004</v>
      </c>
      <c r="G29" s="65">
        <f>(G28-G13)/G13</f>
        <v>-0.21152000000000001</v>
      </c>
      <c r="I29" s="15"/>
    </row>
    <row r="30" spans="2:12" x14ac:dyDescent="0.35">
      <c r="B30" s="33"/>
      <c r="G30" s="32"/>
      <c r="H30" s="2"/>
      <c r="I30" s="2"/>
    </row>
    <row r="31" spans="2:12" ht="40.5" customHeight="1" x14ac:dyDescent="0.35">
      <c r="B31" s="75" t="s">
        <v>98</v>
      </c>
      <c r="C31" s="76"/>
      <c r="D31" s="76"/>
      <c r="E31" s="76"/>
      <c r="F31" s="76"/>
      <c r="G31" s="77"/>
      <c r="I31" s="56"/>
    </row>
    <row r="32" spans="2:12" ht="15" thickBot="1" x14ac:dyDescent="0.4">
      <c r="B32" s="25"/>
      <c r="C32" s="26"/>
      <c r="D32" s="26"/>
      <c r="E32" s="26"/>
      <c r="F32" s="26"/>
      <c r="G32" s="27"/>
    </row>
  </sheetData>
  <mergeCells count="8">
    <mergeCell ref="B27:B28"/>
    <mergeCell ref="B31:G31"/>
    <mergeCell ref="B10:G10"/>
    <mergeCell ref="B11:B12"/>
    <mergeCell ref="C11:C12"/>
    <mergeCell ref="D11:D12"/>
    <mergeCell ref="B20:B21"/>
    <mergeCell ref="C24:G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EF69A-5176-4B3E-9E0E-E5AA29884A49}">
  <dimension ref="B1:R33"/>
  <sheetViews>
    <sheetView showGridLines="0" tabSelected="1" zoomScale="80" zoomScaleNormal="80" workbookViewId="0">
      <selection activeCell="B10" sqref="B10:N10"/>
    </sheetView>
  </sheetViews>
  <sheetFormatPr defaultRowHeight="14.5" x14ac:dyDescent="0.35"/>
  <cols>
    <col min="2" max="2" width="6.7265625" customWidth="1"/>
    <col min="3" max="3" width="42.81640625" customWidth="1"/>
    <col min="4" max="4" width="14.453125" customWidth="1"/>
    <col min="5" max="5" width="13.6328125" customWidth="1"/>
    <col min="6" max="6" width="7.6328125" customWidth="1"/>
    <col min="7" max="7" width="13.6328125" customWidth="1"/>
    <col min="8" max="8" width="7.6328125" customWidth="1"/>
    <col min="9" max="9" width="13.6328125" customWidth="1"/>
    <col min="10" max="10" width="7.6328125" customWidth="1"/>
    <col min="11" max="11" width="13.6328125" customWidth="1"/>
    <col min="12" max="12" width="7.6328125" customWidth="1"/>
    <col min="13" max="13" width="13.6328125" customWidth="1"/>
    <col min="14" max="14" width="7.54296875" customWidth="1"/>
    <col min="15" max="15" width="14.453125" bestFit="1" customWidth="1"/>
    <col min="16" max="16" width="28.08984375" bestFit="1" customWidth="1"/>
    <col min="17" max="18" width="10.08984375" bestFit="1" customWidth="1"/>
  </cols>
  <sheetData>
    <row r="1" spans="2:18" ht="15" thickBot="1" x14ac:dyDescent="0.4"/>
    <row r="2" spans="2:18" x14ac:dyDescent="0.35">
      <c r="B2" s="47" t="s">
        <v>12</v>
      </c>
      <c r="C2" s="48" t="s">
        <v>19</v>
      </c>
      <c r="D2" s="49" t="s">
        <v>41</v>
      </c>
      <c r="E2" s="30"/>
      <c r="F2" s="30"/>
      <c r="G2" s="30"/>
      <c r="H2" s="30"/>
      <c r="I2" s="30"/>
      <c r="J2" s="30"/>
      <c r="K2" s="30"/>
      <c r="L2" s="30"/>
      <c r="M2" s="30"/>
      <c r="N2" s="31"/>
    </row>
    <row r="3" spans="2:18" x14ac:dyDescent="0.35">
      <c r="B3" s="40" t="s">
        <v>23</v>
      </c>
      <c r="C3" s="41" t="s">
        <v>58</v>
      </c>
      <c r="D3" s="50">
        <v>5000000</v>
      </c>
      <c r="N3" s="32"/>
    </row>
    <row r="4" spans="2:18" x14ac:dyDescent="0.35">
      <c r="B4" s="40" t="s">
        <v>24</v>
      </c>
      <c r="C4" s="41" t="s">
        <v>21</v>
      </c>
      <c r="D4" s="42">
        <v>0.01</v>
      </c>
      <c r="N4" s="32"/>
    </row>
    <row r="5" spans="2:18" x14ac:dyDescent="0.35">
      <c r="B5" s="40" t="s">
        <v>25</v>
      </c>
      <c r="C5" s="43" t="s">
        <v>22</v>
      </c>
      <c r="D5" s="42">
        <v>0.1</v>
      </c>
      <c r="N5" s="32"/>
    </row>
    <row r="6" spans="2:18" x14ac:dyDescent="0.35">
      <c r="B6" s="40" t="s">
        <v>26</v>
      </c>
      <c r="C6" s="43" t="s">
        <v>32</v>
      </c>
      <c r="D6" s="42">
        <v>1E-3</v>
      </c>
      <c r="N6" s="32"/>
    </row>
    <row r="7" spans="2:18" ht="15" thickBot="1" x14ac:dyDescent="0.4">
      <c r="B7" s="51" t="s">
        <v>56</v>
      </c>
      <c r="C7" s="52" t="s">
        <v>55</v>
      </c>
      <c r="D7" s="53">
        <v>0.1</v>
      </c>
      <c r="N7" s="32"/>
    </row>
    <row r="8" spans="2:18" x14ac:dyDescent="0.35">
      <c r="B8" s="33"/>
      <c r="N8" s="32"/>
    </row>
    <row r="9" spans="2:18" ht="15" thickBot="1" x14ac:dyDescent="0.4">
      <c r="B9" s="25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7"/>
    </row>
    <row r="10" spans="2:18" ht="15" thickBot="1" x14ac:dyDescent="0.4">
      <c r="B10" s="91" t="s">
        <v>18</v>
      </c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2"/>
    </row>
    <row r="11" spans="2:18" ht="15" thickBot="1" x14ac:dyDescent="0.4">
      <c r="B11" s="78" t="s">
        <v>12</v>
      </c>
      <c r="C11" s="80" t="s">
        <v>1</v>
      </c>
      <c r="D11" s="81" t="s">
        <v>28</v>
      </c>
      <c r="E11" s="12" t="s">
        <v>91</v>
      </c>
      <c r="F11" s="94">
        <v>0.2</v>
      </c>
      <c r="G11" s="12" t="s">
        <v>92</v>
      </c>
      <c r="H11" s="94">
        <v>0.2</v>
      </c>
      <c r="I11" s="12" t="s">
        <v>93</v>
      </c>
      <c r="J11" s="95" t="s">
        <v>51</v>
      </c>
      <c r="K11" s="96" t="s">
        <v>94</v>
      </c>
      <c r="L11" s="97">
        <v>0.3</v>
      </c>
      <c r="M11" s="96" t="s">
        <v>95</v>
      </c>
      <c r="N11" s="97">
        <v>-0.1</v>
      </c>
      <c r="O11" s="5"/>
      <c r="P11" s="4"/>
    </row>
    <row r="12" spans="2:18" ht="15" thickBot="1" x14ac:dyDescent="0.4">
      <c r="B12" s="79"/>
      <c r="C12" s="81"/>
      <c r="D12" s="86"/>
      <c r="E12" s="72" t="s">
        <v>13</v>
      </c>
      <c r="F12" s="74"/>
      <c r="G12" s="72" t="s">
        <v>13</v>
      </c>
      <c r="H12" s="74"/>
      <c r="I12" s="72" t="s">
        <v>13</v>
      </c>
      <c r="J12" s="74"/>
      <c r="K12" s="72" t="s">
        <v>13</v>
      </c>
      <c r="L12" s="74"/>
      <c r="M12" s="72" t="s">
        <v>13</v>
      </c>
      <c r="N12" s="74"/>
      <c r="O12" s="8"/>
      <c r="P12" s="13"/>
      <c r="Q12" s="13"/>
      <c r="R12" s="13"/>
    </row>
    <row r="13" spans="2:18" ht="19.5" customHeight="1" thickBot="1" x14ac:dyDescent="0.4">
      <c r="B13" s="57" t="s">
        <v>4</v>
      </c>
      <c r="C13" s="1" t="s">
        <v>72</v>
      </c>
      <c r="D13" s="98" t="s">
        <v>29</v>
      </c>
      <c r="E13" s="99">
        <v>5000000</v>
      </c>
      <c r="F13" s="100"/>
      <c r="G13" s="99">
        <f>E28</f>
        <v>5886638.8200000003</v>
      </c>
      <c r="H13" s="100"/>
      <c r="I13" s="99">
        <f>G28</f>
        <v>6934799.6466729604</v>
      </c>
      <c r="J13" s="100"/>
      <c r="K13" s="99">
        <f>I28</f>
        <v>5467950.8254086962</v>
      </c>
      <c r="L13" s="100"/>
      <c r="M13" s="99">
        <f>K28</f>
        <v>6968490.6358805131</v>
      </c>
      <c r="N13" s="100"/>
      <c r="O13" s="22"/>
    </row>
    <row r="14" spans="2:18" ht="19.5" customHeight="1" thickBot="1" x14ac:dyDescent="0.4">
      <c r="B14" s="58" t="s">
        <v>6</v>
      </c>
      <c r="C14" s="1" t="s">
        <v>73</v>
      </c>
      <c r="D14" s="98" t="s">
        <v>68</v>
      </c>
      <c r="E14" s="99">
        <f>E13*F11</f>
        <v>1000000</v>
      </c>
      <c r="F14" s="100"/>
      <c r="G14" s="99">
        <f>G13*H11</f>
        <v>1177327.7640000002</v>
      </c>
      <c r="H14" s="100"/>
      <c r="I14" s="99">
        <f>I13*J11</f>
        <v>-1386959.9293345921</v>
      </c>
      <c r="J14" s="100"/>
      <c r="K14" s="99">
        <f>K13*L11</f>
        <v>1640385.2476226089</v>
      </c>
      <c r="L14" s="100"/>
      <c r="M14" s="99">
        <f>M13*N11</f>
        <v>-696849.06358805136</v>
      </c>
      <c r="N14" s="100"/>
    </row>
    <row r="15" spans="2:18" ht="19.5" customHeight="1" thickBot="1" x14ac:dyDescent="0.4">
      <c r="B15" s="58" t="s">
        <v>5</v>
      </c>
      <c r="C15" s="1" t="s">
        <v>74</v>
      </c>
      <c r="D15" s="98" t="s">
        <v>31</v>
      </c>
      <c r="E15" s="99">
        <f>E13+E14</f>
        <v>6000000</v>
      </c>
      <c r="F15" s="100"/>
      <c r="G15" s="99">
        <f>G13+G14</f>
        <v>7063966.5840000007</v>
      </c>
      <c r="H15" s="100"/>
      <c r="I15" s="99">
        <f>I13+I14</f>
        <v>5547839.7173383683</v>
      </c>
      <c r="J15" s="100"/>
      <c r="K15" s="99">
        <f>K13+K14</f>
        <v>7108336.0730313053</v>
      </c>
      <c r="L15" s="100"/>
      <c r="M15" s="99">
        <f>M13+M14</f>
        <v>6271641.572292462</v>
      </c>
      <c r="N15" s="100"/>
    </row>
    <row r="16" spans="2:18" ht="19.5" customHeight="1" thickBot="1" x14ac:dyDescent="0.4">
      <c r="B16" s="58" t="s">
        <v>7</v>
      </c>
      <c r="C16" s="1" t="s">
        <v>87</v>
      </c>
      <c r="D16" s="101" t="s">
        <v>34</v>
      </c>
      <c r="E16" s="99">
        <f>AVERAGE(E13,E15)</f>
        <v>5500000</v>
      </c>
      <c r="F16" s="100"/>
      <c r="G16" s="99">
        <f>AVERAGE(G13,G15)</f>
        <v>6475302.7020000005</v>
      </c>
      <c r="H16" s="100"/>
      <c r="I16" s="99">
        <f>AVERAGE(I13,I15)</f>
        <v>6241319.6820056643</v>
      </c>
      <c r="J16" s="100"/>
      <c r="K16" s="99">
        <f>AVERAGE(K13,K15)</f>
        <v>6288143.4492200008</v>
      </c>
      <c r="L16" s="100"/>
      <c r="M16" s="99">
        <f>AVERAGE(M13,M15)</f>
        <v>6620066.1040864876</v>
      </c>
      <c r="N16" s="100"/>
    </row>
    <row r="17" spans="2:18" ht="42" customHeight="1" thickBot="1" x14ac:dyDescent="0.4">
      <c r="B17" s="58" t="s">
        <v>8</v>
      </c>
      <c r="C17" s="1" t="s">
        <v>44</v>
      </c>
      <c r="D17" s="98" t="s">
        <v>53</v>
      </c>
      <c r="E17" s="99">
        <f>E16*D6</f>
        <v>5500</v>
      </c>
      <c r="F17" s="100"/>
      <c r="G17" s="99">
        <f>G16*D6</f>
        <v>6475.3027020000009</v>
      </c>
      <c r="H17" s="100"/>
      <c r="I17" s="99">
        <f>I16*D6</f>
        <v>6241.3196820056646</v>
      </c>
      <c r="J17" s="100"/>
      <c r="K17" s="99">
        <f>K16*D6</f>
        <v>6288.1434492200005</v>
      </c>
      <c r="L17" s="100"/>
      <c r="M17" s="99">
        <f>M16*D6</f>
        <v>6620.0661040864879</v>
      </c>
      <c r="N17" s="100"/>
      <c r="O17" s="14"/>
    </row>
    <row r="18" spans="2:18" ht="42" customHeight="1" thickBot="1" x14ac:dyDescent="0.4">
      <c r="B18" s="55" t="s">
        <v>9</v>
      </c>
      <c r="C18" s="1" t="s">
        <v>52</v>
      </c>
      <c r="D18" s="101" t="s">
        <v>69</v>
      </c>
      <c r="E18" s="99">
        <f>(D4*(1+18%))*E16</f>
        <v>64900</v>
      </c>
      <c r="F18" s="100"/>
      <c r="G18" s="99">
        <f>(D4*(1+18%))*G16</f>
        <v>76408.571883600001</v>
      </c>
      <c r="H18" s="100"/>
      <c r="I18" s="99">
        <f>(D4*(1+18%))*I16</f>
        <v>73647.572247666831</v>
      </c>
      <c r="J18" s="100"/>
      <c r="K18" s="99">
        <f>(D4*(1+18%))*K16</f>
        <v>74200.092700796013</v>
      </c>
      <c r="L18" s="100"/>
      <c r="M18" s="99">
        <f>(D4*(1+18%))*M16</f>
        <v>78116.780028220557</v>
      </c>
      <c r="N18" s="100"/>
      <c r="O18" s="18"/>
      <c r="P18" s="16"/>
    </row>
    <row r="19" spans="2:18" ht="24" customHeight="1" thickBot="1" x14ac:dyDescent="0.4">
      <c r="B19" s="55" t="s">
        <v>33</v>
      </c>
      <c r="C19" s="1" t="s">
        <v>49</v>
      </c>
      <c r="D19" s="98" t="s">
        <v>60</v>
      </c>
      <c r="E19" s="99">
        <f>E15-E17-E18</f>
        <v>5929600</v>
      </c>
      <c r="F19" s="100"/>
      <c r="G19" s="99">
        <f>G15-G17-G18</f>
        <v>6981082.7094144002</v>
      </c>
      <c r="H19" s="100"/>
      <c r="I19" s="99">
        <f>I15-I17-I18</f>
        <v>5467950.8254086953</v>
      </c>
      <c r="J19" s="100"/>
      <c r="K19" s="99">
        <f>K15-K17-K18</f>
        <v>7027847.8368812893</v>
      </c>
      <c r="L19" s="100"/>
      <c r="M19" s="99">
        <f>M15-M17-M18</f>
        <v>6186904.7261601556</v>
      </c>
      <c r="N19" s="100"/>
      <c r="O19" s="18"/>
      <c r="P19" s="16"/>
    </row>
    <row r="20" spans="2:18" ht="20" customHeight="1" thickBot="1" x14ac:dyDescent="0.4">
      <c r="B20" s="87" t="s">
        <v>10</v>
      </c>
      <c r="C20" s="1" t="s">
        <v>42</v>
      </c>
      <c r="D20" s="98" t="s">
        <v>61</v>
      </c>
      <c r="E20" s="99">
        <f>E14-E17-E18</f>
        <v>929600</v>
      </c>
      <c r="F20" s="100"/>
      <c r="G20" s="99">
        <f>G14-G17-G18</f>
        <v>1094443.8894144003</v>
      </c>
      <c r="H20" s="100"/>
      <c r="I20" s="99">
        <f>I14-I17-I18</f>
        <v>-1466848.8212642644</v>
      </c>
      <c r="J20" s="100"/>
      <c r="K20" s="99">
        <f>K14-K17-K18</f>
        <v>1559897.0114725928</v>
      </c>
      <c r="L20" s="100"/>
      <c r="M20" s="99">
        <f>M14-M17-M18</f>
        <v>-781585.90972035844</v>
      </c>
      <c r="N20" s="100"/>
      <c r="O20" s="18"/>
      <c r="P20" s="2"/>
      <c r="Q20" s="2"/>
      <c r="R20" s="2"/>
    </row>
    <row r="21" spans="2:18" ht="28.5" customHeight="1" thickBot="1" x14ac:dyDescent="0.4">
      <c r="B21" s="83"/>
      <c r="C21" s="3" t="s">
        <v>82</v>
      </c>
      <c r="D21" s="102" t="s">
        <v>70</v>
      </c>
      <c r="E21" s="99">
        <f>E13</f>
        <v>5000000</v>
      </c>
      <c r="F21" s="100"/>
      <c r="G21" s="99">
        <f>E30</f>
        <v>5929600</v>
      </c>
      <c r="H21" s="100"/>
      <c r="I21" s="99">
        <f>G30</f>
        <v>6981082.7094144002</v>
      </c>
      <c r="J21" s="100"/>
      <c r="K21" s="99">
        <f>I30</f>
        <v>6981082.7094144002</v>
      </c>
      <c r="L21" s="100"/>
      <c r="M21" s="99">
        <f>K30</f>
        <v>7027847.8368812893</v>
      </c>
      <c r="N21" s="100"/>
      <c r="O21" s="18"/>
      <c r="P21" s="2"/>
      <c r="Q21" s="2"/>
      <c r="R21" s="2"/>
    </row>
    <row r="22" spans="2:18" ht="20" customHeight="1" thickBot="1" x14ac:dyDescent="0.4">
      <c r="B22" s="57" t="s">
        <v>11</v>
      </c>
      <c r="C22" s="69" t="s">
        <v>55</v>
      </c>
      <c r="D22" s="98" t="s">
        <v>59</v>
      </c>
      <c r="E22" s="99">
        <f>E13*D7</f>
        <v>500000</v>
      </c>
      <c r="F22" s="100"/>
      <c r="G22" s="99">
        <f>G13*D7</f>
        <v>588663.8820000001</v>
      </c>
      <c r="H22" s="100"/>
      <c r="I22" s="99">
        <f>I13*-D7</f>
        <v>-693479.96466729604</v>
      </c>
      <c r="J22" s="100"/>
      <c r="K22" s="99">
        <f>K13*-D7</f>
        <v>-546795.0825408696</v>
      </c>
      <c r="L22" s="100"/>
      <c r="M22" s="99">
        <f>M13*-D7</f>
        <v>-696849.06358805136</v>
      </c>
      <c r="N22" s="100"/>
      <c r="O22" s="61" t="s">
        <v>85</v>
      </c>
    </row>
    <row r="23" spans="2:18" ht="44" thickBot="1" x14ac:dyDescent="0.4">
      <c r="B23" s="55" t="s">
        <v>14</v>
      </c>
      <c r="C23" s="60" t="s">
        <v>77</v>
      </c>
      <c r="D23" s="103" t="s">
        <v>62</v>
      </c>
      <c r="E23" s="104" t="str">
        <f>IF(E19&gt;(E21+E22),("Yes"),("No Pfee"))</f>
        <v>Yes</v>
      </c>
      <c r="F23" s="105"/>
      <c r="G23" s="104" t="str">
        <f>IF(G19&gt;(G21+G22),("Yes"),("No Pfee"))</f>
        <v>Yes</v>
      </c>
      <c r="H23" s="105"/>
      <c r="I23" s="99" t="str">
        <f>IF(I19&gt;(I21+I22),("Yes"),("No Pfee"))</f>
        <v>No Pfee</v>
      </c>
      <c r="J23" s="100"/>
      <c r="K23" s="99" t="str">
        <f>IF(K19&gt;(K21+K22),("Yes"),("No Pfee"))</f>
        <v>Yes</v>
      </c>
      <c r="L23" s="100"/>
      <c r="M23" s="99" t="str">
        <f>IF(M19&gt;(M21+M22),("Yes"),("No Pfee"))</f>
        <v>No Pfee</v>
      </c>
      <c r="N23" s="100"/>
      <c r="O23" s="2"/>
    </row>
    <row r="24" spans="2:18" ht="20" customHeight="1" thickBot="1" x14ac:dyDescent="0.4">
      <c r="B24" s="55"/>
      <c r="C24" s="88" t="s">
        <v>78</v>
      </c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90"/>
      <c r="O24" s="2"/>
    </row>
    <row r="25" spans="2:18" ht="28.5" customHeight="1" thickBot="1" x14ac:dyDescent="0.4">
      <c r="B25" s="58" t="s">
        <v>16</v>
      </c>
      <c r="C25" s="1" t="s">
        <v>97</v>
      </c>
      <c r="D25" s="106" t="s">
        <v>63</v>
      </c>
      <c r="E25" s="104">
        <f>+IF(E23="Yes",(E19-E21-E22),(0))</f>
        <v>429600</v>
      </c>
      <c r="F25" s="105"/>
      <c r="G25" s="104">
        <f>+IF(G23="Yes",(G19-G21-G22),(0))</f>
        <v>462818.82741440006</v>
      </c>
      <c r="H25" s="105"/>
      <c r="I25" s="104">
        <f>+IF(I23="Yes",(I19-I21-I22),(0))</f>
        <v>0</v>
      </c>
      <c r="J25" s="105"/>
      <c r="K25" s="104">
        <f>+IF(K23="Yes",(K19-K21-K22),(0))</f>
        <v>593560.21000775869</v>
      </c>
      <c r="L25" s="105"/>
      <c r="M25" s="104">
        <f>+IF(M23="Yes",(M19-M21-M22),(0))</f>
        <v>0</v>
      </c>
      <c r="N25" s="105"/>
      <c r="O25" s="2"/>
      <c r="P25" s="2"/>
    </row>
    <row r="26" spans="2:18" ht="28.5" customHeight="1" thickBot="1" x14ac:dyDescent="0.4">
      <c r="B26" s="55" t="s">
        <v>15</v>
      </c>
      <c r="C26" s="1" t="s">
        <v>86</v>
      </c>
      <c r="D26" s="107" t="s">
        <v>64</v>
      </c>
      <c r="E26" s="99">
        <f>IF(E25=0,"0",(E25*$D$5)+(1+18%))</f>
        <v>42961.18</v>
      </c>
      <c r="F26" s="100"/>
      <c r="G26" s="99">
        <f>IF(G25=0,"0",(G25*$D$5)+(1+18%))</f>
        <v>46283.062741440008</v>
      </c>
      <c r="H26" s="100"/>
      <c r="I26" s="99" t="str">
        <f>IF(I25=0,"0",(I25*$D$5)+(1+18%))</f>
        <v>0</v>
      </c>
      <c r="J26" s="100"/>
      <c r="K26" s="99">
        <f>IF(K25=0,"0",(K25*$D$5)+(1+18%))</f>
        <v>59357.201000775873</v>
      </c>
      <c r="L26" s="100"/>
      <c r="M26" s="99" t="str">
        <f>IF(M25=0,"0",(M25*$D$5)+(1+18%))</f>
        <v>0</v>
      </c>
      <c r="N26" s="100"/>
      <c r="O26" s="2"/>
    </row>
    <row r="27" spans="2:18" ht="20" customHeight="1" thickBot="1" x14ac:dyDescent="0.4">
      <c r="B27" s="82" t="s">
        <v>50</v>
      </c>
      <c r="C27" s="1" t="s">
        <v>17</v>
      </c>
      <c r="D27" s="106" t="s">
        <v>65</v>
      </c>
      <c r="E27" s="99">
        <f>E17+E18+E26</f>
        <v>113361.18</v>
      </c>
      <c r="F27" s="100"/>
      <c r="G27" s="99">
        <f>G17+G18+G26</f>
        <v>129166.93732704001</v>
      </c>
      <c r="H27" s="100"/>
      <c r="I27" s="99">
        <f>I17+I18+I26</f>
        <v>79888.891929672493</v>
      </c>
      <c r="J27" s="100"/>
      <c r="K27" s="99">
        <f>K17+K18+K26</f>
        <v>139845.4371507919</v>
      </c>
      <c r="L27" s="100"/>
      <c r="M27" s="99">
        <f>M17+M18+M26</f>
        <v>84736.846132307051</v>
      </c>
      <c r="N27" s="100"/>
    </row>
    <row r="28" spans="2:18" ht="20" customHeight="1" thickBot="1" x14ac:dyDescent="0.4">
      <c r="B28" s="83"/>
      <c r="C28" s="1" t="s">
        <v>43</v>
      </c>
      <c r="D28" s="98" t="s">
        <v>66</v>
      </c>
      <c r="E28" s="99">
        <f>E15-E27</f>
        <v>5886638.8200000003</v>
      </c>
      <c r="F28" s="100"/>
      <c r="G28" s="99">
        <f>G15-G27</f>
        <v>6934799.6466729604</v>
      </c>
      <c r="H28" s="100"/>
      <c r="I28" s="99">
        <f>I15-I27</f>
        <v>5467950.8254086962</v>
      </c>
      <c r="J28" s="100"/>
      <c r="K28" s="99">
        <f>K15-K27</f>
        <v>6968490.6358805131</v>
      </c>
      <c r="L28" s="100"/>
      <c r="M28" s="99">
        <f>M15-M27</f>
        <v>6186904.7261601547</v>
      </c>
      <c r="N28" s="100"/>
      <c r="O28" s="15"/>
    </row>
    <row r="29" spans="2:18" ht="21" customHeight="1" thickBot="1" x14ac:dyDescent="0.4">
      <c r="B29" s="66" t="s">
        <v>57</v>
      </c>
      <c r="C29" s="1" t="s">
        <v>76</v>
      </c>
      <c r="D29" s="98" t="s">
        <v>67</v>
      </c>
      <c r="E29" s="108">
        <f>(E28-E13)/E13</f>
        <v>0.17732776400000005</v>
      </c>
      <c r="F29" s="109"/>
      <c r="G29" s="108">
        <f>(G28-G13)/G13</f>
        <v>0.17805760786814503</v>
      </c>
      <c r="H29" s="109"/>
      <c r="I29" s="108">
        <f>(I28-I13)/I13</f>
        <v>-0.21151999999999993</v>
      </c>
      <c r="J29" s="109"/>
      <c r="K29" s="108">
        <f>(K28-K13)/K13</f>
        <v>0.27442452545459034</v>
      </c>
      <c r="L29" s="109"/>
      <c r="M29" s="108">
        <f>(M28-M13)/M13</f>
        <v>-0.11216000000000001</v>
      </c>
      <c r="N29" s="109"/>
      <c r="O29" s="15"/>
    </row>
    <row r="30" spans="2:18" ht="21" customHeight="1" thickBot="1" x14ac:dyDescent="0.4">
      <c r="B30" s="110" t="s">
        <v>88</v>
      </c>
      <c r="C30" s="1" t="s">
        <v>90</v>
      </c>
      <c r="D30" s="101" t="s">
        <v>89</v>
      </c>
      <c r="E30" s="99">
        <f>E19</f>
        <v>5929600</v>
      </c>
      <c r="F30" s="100"/>
      <c r="G30" s="99">
        <f>G19</f>
        <v>6981082.7094144002</v>
      </c>
      <c r="H30" s="100"/>
      <c r="I30" s="99">
        <f>G19</f>
        <v>6981082.7094144002</v>
      </c>
      <c r="J30" s="100"/>
      <c r="K30" s="99">
        <f>K19</f>
        <v>7027847.8368812893</v>
      </c>
      <c r="L30" s="100"/>
      <c r="M30" s="99">
        <f>K19</f>
        <v>7027847.8368812893</v>
      </c>
      <c r="N30" s="100"/>
      <c r="O30" s="15"/>
    </row>
    <row r="31" spans="2:18" ht="13" customHeight="1" x14ac:dyDescent="0.35">
      <c r="B31" s="111" t="s">
        <v>99</v>
      </c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3"/>
      <c r="O31" s="2"/>
    </row>
    <row r="32" spans="2:18" ht="31.5" customHeight="1" x14ac:dyDescent="0.35">
      <c r="B32" s="75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7"/>
      <c r="O32" s="56"/>
    </row>
    <row r="33" spans="2:14" ht="15" thickBot="1" x14ac:dyDescent="0.4">
      <c r="B33" s="114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6"/>
    </row>
  </sheetData>
  <mergeCells count="98">
    <mergeCell ref="B31:N33"/>
    <mergeCell ref="M30:N30"/>
    <mergeCell ref="K30:L30"/>
    <mergeCell ref="E30:F30"/>
    <mergeCell ref="G30:H30"/>
    <mergeCell ref="I30:J30"/>
    <mergeCell ref="M25:N25"/>
    <mergeCell ref="M26:N26"/>
    <mergeCell ref="M27:N27"/>
    <mergeCell ref="M28:N28"/>
    <mergeCell ref="M29:N29"/>
    <mergeCell ref="B10:N10"/>
    <mergeCell ref="M12:N12"/>
    <mergeCell ref="C24:N24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K18:L18"/>
    <mergeCell ref="K16:L16"/>
    <mergeCell ref="G18:H18"/>
    <mergeCell ref="I16:J16"/>
    <mergeCell ref="G16:H16"/>
    <mergeCell ref="I17:J17"/>
    <mergeCell ref="G17:H17"/>
    <mergeCell ref="I21:J21"/>
    <mergeCell ref="G21:H21"/>
    <mergeCell ref="I20:J20"/>
    <mergeCell ref="G20:H20"/>
    <mergeCell ref="I19:J19"/>
    <mergeCell ref="G19:H19"/>
    <mergeCell ref="K14:L14"/>
    <mergeCell ref="K13:L13"/>
    <mergeCell ref="K23:L23"/>
    <mergeCell ref="K22:L22"/>
    <mergeCell ref="K21:L21"/>
    <mergeCell ref="K20:L20"/>
    <mergeCell ref="K19:L19"/>
    <mergeCell ref="K17:L17"/>
    <mergeCell ref="K15:L15"/>
    <mergeCell ref="I12:J12"/>
    <mergeCell ref="G12:H12"/>
    <mergeCell ref="K12:L12"/>
    <mergeCell ref="K29:L29"/>
    <mergeCell ref="K28:L28"/>
    <mergeCell ref="K27:L27"/>
    <mergeCell ref="K26:L26"/>
    <mergeCell ref="K25:L25"/>
    <mergeCell ref="I15:J15"/>
    <mergeCell ref="G15:H15"/>
    <mergeCell ref="I14:J14"/>
    <mergeCell ref="G14:H14"/>
    <mergeCell ref="I13:J13"/>
    <mergeCell ref="G13:H13"/>
    <mergeCell ref="I18:J18"/>
    <mergeCell ref="I26:J26"/>
    <mergeCell ref="E21:F21"/>
    <mergeCell ref="E20:F20"/>
    <mergeCell ref="E19:F19"/>
    <mergeCell ref="E29:F29"/>
    <mergeCell ref="G25:H25"/>
    <mergeCell ref="G23:H23"/>
    <mergeCell ref="G22:H22"/>
    <mergeCell ref="G26:H26"/>
    <mergeCell ref="I25:J25"/>
    <mergeCell ref="E23:F23"/>
    <mergeCell ref="E22:F22"/>
    <mergeCell ref="I23:J23"/>
    <mergeCell ref="I22:J22"/>
    <mergeCell ref="I29:J29"/>
    <mergeCell ref="G29:H29"/>
    <mergeCell ref="I28:J28"/>
    <mergeCell ref="G28:H28"/>
    <mergeCell ref="I27:J27"/>
    <mergeCell ref="G27:H27"/>
    <mergeCell ref="B11:B12"/>
    <mergeCell ref="C11:C12"/>
    <mergeCell ref="D11:D12"/>
    <mergeCell ref="B20:B21"/>
    <mergeCell ref="E28:F28"/>
    <mergeCell ref="E27:F27"/>
    <mergeCell ref="E26:F26"/>
    <mergeCell ref="E25:F25"/>
    <mergeCell ref="B27:B28"/>
    <mergeCell ref="E12:F12"/>
    <mergeCell ref="E13:F13"/>
    <mergeCell ref="E14:F14"/>
    <mergeCell ref="E15:F15"/>
    <mergeCell ref="E18:F18"/>
    <mergeCell ref="E16:F16"/>
    <mergeCell ref="E17:F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Fixed Fee</vt:lpstr>
      <vt:lpstr>Fixed + Variable</vt:lpstr>
      <vt:lpstr>Fixed + Variable (Multi Year)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Waseem Mohammed</dc:creator>
  <cp:lastModifiedBy>Managed Solution</cp:lastModifiedBy>
  <dcterms:created xsi:type="dcterms:W3CDTF">2023-09-06T12:54:45Z</dcterms:created>
  <dcterms:modified xsi:type="dcterms:W3CDTF">2024-10-11T12:19:48Z</dcterms:modified>
</cp:coreProperties>
</file>